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sumen" sheetId="1" r:id="rId5"/>
    <sheet state="visible" name="Instrucciones" sheetId="2" r:id="rId6"/>
    <sheet state="visible" name="Ingresos" sheetId="3" r:id="rId7"/>
    <sheet state="visible" name="Costes" sheetId="4" r:id="rId8"/>
    <sheet state="visible" name="Flujo de Caja" sheetId="5" r:id="rId9"/>
    <sheet state="visible" name="Sensibilidad" sheetId="6" r:id="rId10"/>
  </sheets>
  <definedNames/>
  <calcPr/>
</workbook>
</file>

<file path=xl/sharedStrings.xml><?xml version="1.0" encoding="utf-8"?>
<sst xmlns="http://schemas.openxmlformats.org/spreadsheetml/2006/main" count="148" uniqueCount="148">
  <si>
    <t>Estudio de Viabilidad Inmobiliaria</t>
  </si>
  <si>
    <t>Ingresos por Venta</t>
  </si>
  <si>
    <t>Resumen de Viabilidad</t>
  </si>
  <si>
    <t>Introduce las unidades y el precio de venta estimado</t>
  </si>
  <si>
    <t>Plantilla gratuita — Gibobs Allbanks</t>
  </si>
  <si>
    <t>Cómo usar esta plantilla</t>
  </si>
  <si>
    <t>Detalle de unidades a vender</t>
  </si>
  <si>
    <t>Indicadores clave del proyecto (calculados automáticamente)</t>
  </si>
  <si>
    <t>Costes del Proyecto</t>
  </si>
  <si>
    <t>Ingresos y Costes</t>
  </si>
  <si>
    <t>Suelo, construcción, técnicos, licencias y financiación</t>
  </si>
  <si>
    <t>1. Coste del Suelo</t>
  </si>
  <si>
    <t>1. Ingresos</t>
  </si>
  <si>
    <t>Tipología</t>
  </si>
  <si>
    <t>Rellena en la pestaña 'Ingresos' las viviendas/locales previstos, unidades y precio de venta estimado por unidad.</t>
  </si>
  <si>
    <t>Precio de compra del suelo</t>
  </si>
  <si>
    <t>Nº Unidades</t>
  </si>
  <si>
    <t>Superficie (m² construidos)</t>
  </si>
  <si>
    <t>Precio Venta / Unidad (€)</t>
  </si>
  <si>
    <t>Ingreso Total (€)</t>
  </si>
  <si>
    <t>Vivienda tipo A</t>
  </si>
  <si>
    <t>Total Ingresos por Venta</t>
  </si>
  <si>
    <t>2. Costes</t>
  </si>
  <si>
    <t>Rellena en la pestaña 'Costes' el precio del suelo, el coste de construcción por m², honorarios técnicos, licencias y gastos financieros.</t>
  </si>
  <si>
    <t>3. Flujo de Caja</t>
  </si>
  <si>
    <t>Ajusta en 'Flujo de Caja' los meses de inicio y fin de cada partida para ver cuándo necesitas financiación y cuánto.</t>
  </si>
  <si>
    <t>4. Resumen</t>
  </si>
  <si>
    <t>Consulta en 'Resumen' el margen sobre coste, el VAN, la TIR y el Loan to Cost (LTC) calculados automáticamente.</t>
  </si>
  <si>
    <t>5. Sensibilidad</t>
  </si>
  <si>
    <t>Revisa el escenario optimista, realista y pesimista en 'Sensibilidad' antes de tomar la decisión final.</t>
  </si>
  <si>
    <t>Código de colores</t>
  </si>
  <si>
    <t>Azul</t>
  </si>
  <si>
    <t>Impuestos de compra, ITP/IVA (%)</t>
  </si>
  <si>
    <t>Celdas de entrada (inputs). Edita estos valores según tu proyecto.</t>
  </si>
  <si>
    <t>Negro</t>
  </si>
  <si>
    <t>Fórmulas calculadas automáticamente. No es necesario tocarlas.</t>
  </si>
  <si>
    <t>Verde</t>
  </si>
  <si>
    <t>Total Costes del Proyecto (+comisión apertura)</t>
  </si>
  <si>
    <t>Beneficio Neto (antes de intereses de financiación)</t>
  </si>
  <si>
    <t>Notaría, registro y gestoría</t>
  </si>
  <si>
    <t>SUBTOTAL COSTE DE SUELO</t>
  </si>
  <si>
    <t>Vivienda tipo B (ejemplo)</t>
  </si>
  <si>
    <t>Enlaces a otra pestaña dentro del mismo libro.</t>
  </si>
  <si>
    <t>⚠ Aviso</t>
  </si>
  <si>
    <t>Esta plantilla es una herramienta orientativa de cálculo. Los porcentajes de costes, plazos y rentabilidades mínimas son referencias de mercado a fecha de publicación y deben ajustarse a tu proyecto, ubicación y condiciones bancarias reales. No sustituye el asesoramiento de un profesional.</t>
  </si>
  <si>
    <t>¿Necesitas financiación para tu promoción?</t>
  </si>
  <si>
    <t>Simulador de préstamo promotor de Gibobs: gibobs.com</t>
  </si>
  <si>
    <t>2. Costes de Construcción (Hard Costs)</t>
  </si>
  <si>
    <t>Superficie construida (m²)</t>
  </si>
  <si>
    <t>Intereses de Financiación (Flujo de Caja)</t>
  </si>
  <si>
    <t>Coste de construcción por m² (PEM+GG+BI)</t>
  </si>
  <si>
    <t>Imprevistos de obra (%)</t>
  </si>
  <si>
    <t>SUBTOTAL COSTE DE CONSTRUCCIÓN</t>
  </si>
  <si>
    <t>3. Honorarios Técnicos y Licencias (Soft Costs)</t>
  </si>
  <si>
    <t>Beneficio Neto Final (tras intereses)</t>
  </si>
  <si>
    <t>Honorarios arquitecto + aparejador (% s/ PEM)</t>
  </si>
  <si>
    <t>Licencia de obra + ICIO (% s/ PEM)</t>
  </si>
  <si>
    <t>Seguro Decenal y otros seguros</t>
  </si>
  <si>
    <t>Locales comerciales (ejemplo)</t>
  </si>
  <si>
    <t>SUBTOTAL SOFT COSTS</t>
  </si>
  <si>
    <t>Indicadores de Rentabilidad</t>
  </si>
  <si>
    <t>Garajes / trasteros (ejemplo)</t>
  </si>
  <si>
    <t>Margen sobre Coste (Beneficio Neto Final / Costes)</t>
  </si>
  <si>
    <t>4. Gastos Financieros y Comerciales</t>
  </si>
  <si>
    <t>Comisión de apertura del préstamo (%)</t>
  </si>
  <si>
    <t>TOTAL INGRESOS</t>
  </si>
  <si>
    <t>Tipo de interés anual del préstamo promotor</t>
  </si>
  <si>
    <t>Comercialización / agencia (enlazado desde Ingresos)</t>
  </si>
  <si>
    <t>Préstamo estimado a solicitar (LTC objetivo, ver Resumen)</t>
  </si>
  <si>
    <t>SUBTOTAL GASTOS COMERCIALES (comercialización)</t>
  </si>
  <si>
    <t>TOTAL COSTES DEL PROYECTO</t>
  </si>
  <si>
    <t>Margen mínimo exigido por bancos (referencia 2026)</t>
  </si>
  <si>
    <t>TOTAL COSTES</t>
  </si>
  <si>
    <t>¿Cumple margen mínimo?</t>
  </si>
  <si>
    <t>Comisión de apertura (calculada s/ préstamo estimado)</t>
  </si>
  <si>
    <t>TIR mensual del proyecto (IRR sobre flujo neto)</t>
  </si>
  <si>
    <t>TOTAL COSTES + COMISIÓN DE APERTURA</t>
  </si>
  <si>
    <t>Comercialización y ritmo de ventas</t>
  </si>
  <si>
    <t>Meses estimados para vender toda la promoción (absorción)</t>
  </si>
  <si>
    <t>Honorarios comercialización / agencia (% s/ ingresos)</t>
  </si>
  <si>
    <t>TOTAL INGRESOS (€)</t>
  </si>
  <si>
    <t>TIR anualizada (TAE)</t>
  </si>
  <si>
    <t>Flujo de Caja Mensual</t>
  </si>
  <si>
    <t>Ajusta los meses de inicio/fin (celdas azules) de cada partida</t>
  </si>
  <si>
    <t>Partida</t>
  </si>
  <si>
    <t>Mes Inicio</t>
  </si>
  <si>
    <t>Mes Fin</t>
  </si>
  <si>
    <t>M1</t>
  </si>
  <si>
    <t>M2</t>
  </si>
  <si>
    <t>M3</t>
  </si>
  <si>
    <t>M4</t>
  </si>
  <si>
    <t>M5</t>
  </si>
  <si>
    <t>M6</t>
  </si>
  <si>
    <t>M7</t>
  </si>
  <si>
    <t>M8</t>
  </si>
  <si>
    <t>M9</t>
  </si>
  <si>
    <t>M10</t>
  </si>
  <si>
    <t>M11</t>
  </si>
  <si>
    <t>M12</t>
  </si>
  <si>
    <t>M13</t>
  </si>
  <si>
    <t>M14</t>
  </si>
  <si>
    <t>M15</t>
  </si>
  <si>
    <t>M16</t>
  </si>
  <si>
    <t>Análisis de Sensibilidad</t>
  </si>
  <si>
    <t>M17</t>
  </si>
  <si>
    <t>Escenario optimista, realista y pesimista</t>
  </si>
  <si>
    <t>M18</t>
  </si>
  <si>
    <t>M19</t>
  </si>
  <si>
    <t>Pesimista</t>
  </si>
  <si>
    <t>M20</t>
  </si>
  <si>
    <t>Realista</t>
  </si>
  <si>
    <t>M21</t>
  </si>
  <si>
    <t>Optimista</t>
  </si>
  <si>
    <t>Variación en precio de venta (%)</t>
  </si>
  <si>
    <t>M22</t>
  </si>
  <si>
    <t>M23</t>
  </si>
  <si>
    <t>Variación en coste de construcción (%)</t>
  </si>
  <si>
    <t>M24</t>
  </si>
  <si>
    <t>Resultado por escenario</t>
  </si>
  <si>
    <t>Total</t>
  </si>
  <si>
    <t>Ingresos ajustados</t>
  </si>
  <si>
    <t>TIR mínima exigida por inversores/deuda alternativa</t>
  </si>
  <si>
    <t>Compra de Suelo + Impuestos + Notaría</t>
  </si>
  <si>
    <t>Tasa de descuento mensual para el VAN (coste de capital anual/12)</t>
  </si>
  <si>
    <t>VAN del proyecto (NPV sobre flujo neto mensual)</t>
  </si>
  <si>
    <t>Costes ajustados</t>
  </si>
  <si>
    <t>Beneficio Neto</t>
  </si>
  <si>
    <t>Margen sobre Coste</t>
  </si>
  <si>
    <t>Interpretación: VAN &gt; 0 significa que el proyecto genera valor por encima de la rentabilidad mínima exigida (tasa de descuento).</t>
  </si>
  <si>
    <t>Financiación (Loan to Cost)</t>
  </si>
  <si>
    <t>Déficit de caja máximo si todo se financiara con deuda (0% equity)</t>
  </si>
  <si>
    <t>Este análisis parte del Total Ingresos y Total Costes calculados en las pestañas 'Ingresos' y 'Costes'. Ajusta las variaciones % de cada escenario a la volatilidad real de tu mercado.</t>
  </si>
  <si>
    <t>LTC objetivo negociado con el banco (ver pestaña Costes)</t>
  </si>
  <si>
    <t>Préstamo concedido según LTC objetivo (Coste total × LTC objetivo)</t>
  </si>
  <si>
    <t>Equity (capital propio) a aportar según LTC objetivo</t>
  </si>
  <si>
    <t>⚠ Si el déficit de caja máximo supera el préstamo según LTC objetivo, necesitarás aportar más equity al inicio del proyecto (p. ej. para el suelo) de lo que cubre el LTC objetivo por sí solo.</t>
  </si>
  <si>
    <t>¿Buscas financiación para tu proyecto?</t>
  </si>
  <si>
    <t>Simula tu préstamo promotor con Gibobs: gibobs.com</t>
  </si>
  <si>
    <t>Costes de Construcción (PEC + Imprevistos)</t>
  </si>
  <si>
    <t>Honorarios Técnicos, Licencias y Seguros</t>
  </si>
  <si>
    <t>Comercialización y Comisión Apertura</t>
  </si>
  <si>
    <t>TOTAL SALIDAS DE CAJA</t>
  </si>
  <si>
    <t>Ingresos por Venta (cobro escriturado)</t>
  </si>
  <si>
    <t>FLUJO NETO MENSUAL</t>
  </si>
  <si>
    <t>FLUJO DE CAJA ACUMULADO (sin financiación)</t>
  </si>
  <si>
    <t>Disposición de préstamo necesaria (saldo negativo cubierto)</t>
  </si>
  <si>
    <t>Intereses del mes (s/ saldo dispuesto mes anterior)</t>
  </si>
  <si>
    <t>Nota: los meses de inicio/fin de cada partida (columnas C y D) son estimaciones editables. La disposición de préstamo es una aproximación simplificada del calendario real de disposiciones bancarias.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</si>
</sst>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quot; €&quot;;\(#,##0&quot; €)&quot;;\-"/>
    <numFmt numFmtId="165" formatCode="0.0%;\(0.0%\);\-"/>
    <numFmt numFmtId="166" formatCode="#,##0;\(#,##0\);\-"/>
  </numFmts>
  <fonts count="13">
    <font>
      <sz val="11.0"/>
      <color theme="1"/>
      <name val="Calibri"/>
      <scheme val="minor"/>
    </font>
    <font>
      <b/>
      <sz val="16.0"/>
      <color rgb="FF17B3E5"/>
      <name val="Arial"/>
    </font>
    <font>
      <i/>
      <sz val="11.0"/>
      <color rgb="FF666666"/>
      <name val="Arial"/>
    </font>
    <font>
      <b/>
      <sz val="12.0"/>
      <color rgb="FFFFFFFF"/>
      <name val="Arial"/>
    </font>
    <font/>
    <font>
      <b/>
      <sz val="11.0"/>
      <color rgb="FF000000"/>
      <name val="Arial"/>
    </font>
    <font>
      <b/>
      <sz val="11.0"/>
      <color rgb="FFFFFFFF"/>
      <name val="Arial"/>
    </font>
    <font>
      <sz val="11.0"/>
      <color rgb="FF000000"/>
      <name val="Arial"/>
    </font>
    <font>
      <sz val="11.0"/>
      <color rgb="FF0000FF"/>
      <name val="Arial"/>
    </font>
    <font>
      <sz val="11.0"/>
      <color rgb="FF008000"/>
      <name val="Arial"/>
    </font>
    <font>
      <b/>
      <sz val="11.0"/>
      <color rgb="FF0000FF"/>
      <name val="Arial"/>
    </font>
    <font>
      <b/>
      <sz val="11.0"/>
      <color rgb="FF008000"/>
      <name val="Arial"/>
    </font>
    <font>
      <sz val="11.0"/>
      <color theme="1"/>
      <name val="Calibri"/>
    </font>
  </fonts>
  <fills count="7">
    <fill>
      <patternFill patternType="none"/>
    </fill>
    <fill>
      <patternFill patternType="lightGray"/>
    </fill>
    <fill>
      <patternFill patternType="solid">
        <fgColor rgb="FF17B3E5"/>
        <bgColor rgb="FF17B3E5"/>
      </patternFill>
    </fill>
    <fill>
      <patternFill patternType="solid">
        <fgColor rgb="FF55C8B6"/>
        <bgColor rgb="FF55C8B6"/>
      </patternFill>
    </fill>
    <fill>
      <patternFill patternType="solid">
        <fgColor rgb="FFF8F9FA"/>
        <bgColor rgb="FFF8F9FA"/>
      </patternFill>
    </fill>
    <fill>
      <patternFill patternType="solid">
        <fgColor rgb="FFFFFFCC"/>
        <bgColor rgb="FFFFFFCC"/>
      </patternFill>
    </fill>
    <fill>
      <patternFill patternType="solid">
        <fgColor rgb="FFEBEBEB"/>
        <bgColor rgb="FFEBEBEB"/>
      </patternFill>
    </fill>
  </fills>
  <borders count="6">
    <border/>
    <border>
      <left/>
      <top/>
      <bottom/>
    </border>
    <border>
      <top/>
      <bottom/>
    </border>
    <border>
      <right/>
      <top/>
      <bottom/>
    </border>
    <border>
      <left style="thin">
        <color rgb="FFDDDDDD"/>
      </left>
      <right style="thin">
        <color rgb="FFDDDDDD"/>
      </right>
      <top style="thin">
        <color rgb="FFDDDDDD"/>
      </top>
      <bottom style="thin">
        <color rgb="FFDDDDDD"/>
      </bottom>
    </border>
    <border>
      <left/>
      <right/>
      <top/>
      <bottom/>
    </border>
  </borders>
  <cellStyleXfs count="1">
    <xf borderId="0" fillId="0" fontId="0" numFmtId="0" applyAlignment="1" applyFont="1"/>
  </cellStyleXfs>
  <cellXfs count="44">
    <xf borderId="0" fillId="0" fontId="0" numFmtId="0" xfId="0" applyAlignment="1" applyFont="1">
      <alignment readingOrder="0" shrinkToFit="0" vertical="bottom" wrapText="0"/>
    </xf>
    <xf borderId="0" fillId="0" fontId="1" numFmtId="0" xfId="0" applyAlignment="1" applyFont="1">
      <alignment shrinkToFit="0" vertical="bottom" wrapText="0"/>
    </xf>
    <xf borderId="0" fillId="0" fontId="2" numFmtId="0" xfId="0" applyAlignment="1" applyFont="1">
      <alignment shrinkToFit="0" vertical="bottom" wrapText="0"/>
    </xf>
    <xf borderId="1" fillId="2" fontId="3" numFmtId="0" xfId="0" applyAlignment="1" applyBorder="1" applyFill="1" applyFont="1">
      <alignment shrinkToFit="0" vertical="bottom" wrapText="0"/>
    </xf>
    <xf borderId="2" fillId="0" fontId="4" numFmtId="0" xfId="0" applyBorder="1" applyFont="1"/>
    <xf borderId="3" fillId="0" fontId="4" numFmtId="0" xfId="0" applyBorder="1" applyFont="1"/>
    <xf borderId="0" fillId="0" fontId="5" numFmtId="0" xfId="0" applyAlignment="1" applyFont="1">
      <alignment shrinkToFit="0" vertical="bottom" wrapText="0"/>
    </xf>
    <xf borderId="4" fillId="3" fontId="6" numFmtId="0" xfId="0" applyAlignment="1" applyBorder="1" applyFill="1" applyFont="1">
      <alignment horizontal="center" shrinkToFit="0" vertical="center" wrapText="1"/>
    </xf>
    <xf borderId="0" fillId="0" fontId="7" numFmtId="0" xfId="0" applyAlignment="1" applyFont="1">
      <alignment shrinkToFit="0" vertical="bottom" wrapText="0"/>
    </xf>
    <xf borderId="0" fillId="0" fontId="7" numFmtId="0" xfId="0" applyAlignment="1" applyFont="1">
      <alignment shrinkToFit="0" vertical="top" wrapText="1"/>
    </xf>
    <xf borderId="4" fillId="4" fontId="8" numFmtId="0" xfId="0" applyAlignment="1" applyBorder="1" applyFill="1" applyFont="1">
      <alignment shrinkToFit="0" vertical="bottom" wrapText="0"/>
    </xf>
    <xf borderId="0" fillId="0" fontId="9" numFmtId="0" xfId="0" applyAlignment="1" applyFont="1">
      <alignment shrinkToFit="0" vertical="bottom" wrapText="0"/>
    </xf>
    <xf borderId="5" fillId="5" fontId="8" numFmtId="164" xfId="0" applyAlignment="1" applyBorder="1" applyFill="1" applyFont="1" applyNumberFormat="1">
      <alignment shrinkToFit="0" vertical="bottom" wrapText="0"/>
    </xf>
    <xf borderId="4" fillId="4" fontId="8" numFmtId="164" xfId="0" applyAlignment="1" applyBorder="1" applyFont="1" applyNumberFormat="1">
      <alignment shrinkToFit="0" vertical="bottom" wrapText="0"/>
    </xf>
    <xf borderId="0" fillId="0" fontId="10" numFmtId="0" xfId="0" applyAlignment="1" applyFont="1">
      <alignment shrinkToFit="0" vertical="bottom" wrapText="0"/>
    </xf>
    <xf borderId="0" fillId="0" fontId="9" numFmtId="164" xfId="0" applyAlignment="1" applyFont="1" applyNumberFormat="1">
      <alignment shrinkToFit="0" vertical="bottom" wrapText="0"/>
    </xf>
    <xf borderId="5" fillId="5" fontId="8" numFmtId="165" xfId="0" applyAlignment="1" applyBorder="1" applyFont="1" applyNumberFormat="1">
      <alignment shrinkToFit="0" vertical="bottom" wrapText="0"/>
    </xf>
    <xf borderId="4" fillId="4" fontId="7" numFmtId="164" xfId="0" applyAlignment="1" applyBorder="1" applyFont="1" applyNumberFormat="1">
      <alignment shrinkToFit="0" vertical="bottom" wrapText="0"/>
    </xf>
    <xf borderId="0" fillId="0" fontId="11" numFmtId="0" xfId="0" applyAlignment="1" applyFont="1">
      <alignment shrinkToFit="0" vertical="bottom" wrapText="0"/>
    </xf>
    <xf borderId="5" fillId="6" fontId="5" numFmtId="164" xfId="0" applyAlignment="1" applyBorder="1" applyFill="1" applyFont="1" applyNumberFormat="1">
      <alignment shrinkToFit="0" vertical="bottom" wrapText="0"/>
    </xf>
    <xf borderId="0" fillId="0" fontId="5" numFmtId="164" xfId="0" applyAlignment="1" applyFont="1" applyNumberFormat="1">
      <alignment shrinkToFit="0" vertical="bottom" wrapText="0"/>
    </xf>
    <xf borderId="4" fillId="0" fontId="8" numFmtId="0" xfId="0" applyAlignment="1" applyBorder="1" applyFont="1">
      <alignment shrinkToFit="0" vertical="bottom" wrapText="0"/>
    </xf>
    <xf borderId="5" fillId="5" fontId="8" numFmtId="166" xfId="0" applyAlignment="1" applyBorder="1" applyFont="1" applyNumberFormat="1">
      <alignment shrinkToFit="0" vertical="bottom" wrapText="0"/>
    </xf>
    <xf borderId="4" fillId="0" fontId="8" numFmtId="164" xfId="0" applyAlignment="1" applyBorder="1" applyFont="1" applyNumberFormat="1">
      <alignment shrinkToFit="0" vertical="bottom" wrapText="0"/>
    </xf>
    <xf borderId="4" fillId="0" fontId="7" numFmtId="164" xfId="0" applyAlignment="1" applyBorder="1" applyFont="1" applyNumberFormat="1">
      <alignment shrinkToFit="0" vertical="bottom" wrapText="0"/>
    </xf>
    <xf borderId="4" fillId="6" fontId="5" numFmtId="0" xfId="0" applyAlignment="1" applyBorder="1" applyFont="1">
      <alignment shrinkToFit="0" vertical="bottom" wrapText="0"/>
    </xf>
    <xf borderId="0" fillId="0" fontId="5" numFmtId="165" xfId="0" applyAlignment="1" applyFont="1" applyNumberFormat="1">
      <alignment shrinkToFit="0" vertical="bottom" wrapText="0"/>
    </xf>
    <xf borderId="0" fillId="0" fontId="8" numFmtId="0" xfId="0" applyAlignment="1" applyFont="1">
      <alignment shrinkToFit="0" vertical="bottom" wrapText="0"/>
    </xf>
    <xf borderId="4" fillId="6" fontId="12" numFmtId="0" xfId="0" applyAlignment="1" applyBorder="1" applyFont="1">
      <alignment shrinkToFit="0" vertical="bottom" wrapText="0"/>
    </xf>
    <xf borderId="0" fillId="0" fontId="7" numFmtId="164" xfId="0" applyAlignment="1" applyFont="1" applyNumberFormat="1">
      <alignment shrinkToFit="0" vertical="bottom" wrapText="0"/>
    </xf>
    <xf borderId="4" fillId="6" fontId="5" numFmtId="164" xfId="0" applyAlignment="1" applyBorder="1" applyFont="1" applyNumberFormat="1">
      <alignment shrinkToFit="0" vertical="bottom" wrapText="0"/>
    </xf>
    <xf borderId="0" fillId="0" fontId="7" numFmtId="165" xfId="0" applyAlignment="1" applyFont="1" applyNumberFormat="1">
      <alignment shrinkToFit="0" vertical="bottom" wrapText="0"/>
    </xf>
    <xf borderId="4" fillId="3" fontId="6" numFmtId="0" xfId="0" applyAlignment="1" applyBorder="1" applyFont="1">
      <alignment horizontal="center" shrinkToFit="0" vertical="bottom" wrapText="0"/>
    </xf>
    <xf borderId="5" fillId="6" fontId="5" numFmtId="165" xfId="0" applyAlignment="1" applyBorder="1" applyFont="1" applyNumberFormat="1">
      <alignment shrinkToFit="0" vertical="bottom" wrapText="0"/>
    </xf>
    <xf borderId="4" fillId="3" fontId="6" numFmtId="0" xfId="0" applyAlignment="1" applyBorder="1" applyFont="1">
      <alignment shrinkToFit="0" vertical="bottom" wrapText="0"/>
    </xf>
    <xf borderId="4" fillId="0" fontId="7" numFmtId="0" xfId="0" applyAlignment="1" applyBorder="1" applyFont="1">
      <alignment shrinkToFit="0" vertical="bottom" wrapText="0"/>
    </xf>
    <xf borderId="4" fillId="5" fontId="8" numFmtId="166" xfId="0" applyAlignment="1" applyBorder="1" applyFont="1" applyNumberFormat="1">
      <alignment shrinkToFit="0" vertical="bottom" wrapText="0"/>
    </xf>
    <xf borderId="0" fillId="0" fontId="2" numFmtId="0" xfId="0" applyAlignment="1" applyFont="1">
      <alignment shrinkToFit="0" vertical="bottom" wrapText="1"/>
    </xf>
    <xf borderId="0" fillId="0" fontId="7" numFmtId="0" xfId="0" applyAlignment="1" applyFont="1">
      <alignment shrinkToFit="0" vertical="bottom" wrapText="1"/>
    </xf>
    <xf borderId="0" fillId="0" fontId="9" numFmtId="165" xfId="0" applyAlignment="1" applyFont="1" applyNumberFormat="1">
      <alignment shrinkToFit="0" vertical="bottom" wrapText="0"/>
    </xf>
    <xf borderId="4" fillId="0" fontId="9" numFmtId="0" xfId="0" applyAlignment="1" applyBorder="1" applyFont="1">
      <alignment shrinkToFit="0" vertical="bottom" wrapText="0"/>
    </xf>
    <xf borderId="4" fillId="0" fontId="5" numFmtId="0" xfId="0" applyAlignment="1" applyBorder="1" applyFont="1">
      <alignment shrinkToFit="0" vertical="bottom" wrapText="0"/>
    </xf>
    <xf borderId="4" fillId="0" fontId="12" numFmtId="0" xfId="0" applyAlignment="1" applyBorder="1" applyFont="1">
      <alignment shrinkToFit="0" vertical="bottom" wrapText="0"/>
    </xf>
    <xf borderId="4" fillId="0" fontId="5" numFmtId="164" xfId="0" applyAlignment="1" applyBorder="1" applyFont="1" applyNumberForma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17B3E5"/>
    <pageSetUpPr/>
  </sheetPr>
  <sheetViews>
    <sheetView workbookViewId="0"/>
  </sheetViews>
  <sheetFormatPr customHeight="1" defaultColWidth="14.43" defaultRowHeight="15.0"/>
  <cols>
    <col customWidth="1" min="1" max="1" width="4.0"/>
    <col customWidth="1" min="2" max="2" width="40.0"/>
    <col customWidth="1" min="3" max="4" width="20.0"/>
    <col customWidth="1" min="5" max="5" width="4.0"/>
    <col customWidth="1" min="6" max="26" width="8.71"/>
  </cols>
  <sheetData>
    <row r="1">
      <c r="A1" s="1" t="s">
        <v>2</v>
      </c>
    </row>
    <row r="2">
      <c r="A2" s="2" t="s">
        <v>7</v>
      </c>
    </row>
    <row r="4" ht="19.5" customHeight="1">
      <c r="A4" s="3" t="s">
        <v>9</v>
      </c>
      <c r="B4" s="4"/>
      <c r="C4" s="5"/>
    </row>
    <row r="5">
      <c r="B5" s="11" t="s">
        <v>21</v>
      </c>
      <c r="C5" s="15">
        <f>Ingresos!F16</f>
        <v>2500000</v>
      </c>
    </row>
    <row r="6">
      <c r="B6" s="11" t="s">
        <v>37</v>
      </c>
      <c r="C6" s="15">
        <f>Costes!E32</f>
        <v>1857830</v>
      </c>
    </row>
    <row r="7">
      <c r="B7" s="6" t="s">
        <v>38</v>
      </c>
      <c r="C7" s="20">
        <f>C5-C6</f>
        <v>642170</v>
      </c>
    </row>
    <row r="8">
      <c r="B8" s="11" t="s">
        <v>49</v>
      </c>
      <c r="C8" s="15">
        <f>'Flujo de Caja'!AC15</f>
        <v>108648.4167</v>
      </c>
    </row>
    <row r="9">
      <c r="B9" s="6" t="s">
        <v>54</v>
      </c>
      <c r="C9" s="19">
        <f>C7-C8</f>
        <v>533521.5833</v>
      </c>
    </row>
    <row r="11" ht="19.5" customHeight="1">
      <c r="A11" s="3" t="s">
        <v>60</v>
      </c>
      <c r="B11" s="4"/>
      <c r="C11" s="5"/>
    </row>
    <row r="12">
      <c r="B12" s="6" t="s">
        <v>62</v>
      </c>
      <c r="C12" s="26">
        <f>C9/C6</f>
        <v>0.287174598</v>
      </c>
    </row>
    <row r="13">
      <c r="B13" s="27" t="s">
        <v>71</v>
      </c>
      <c r="C13" s="16">
        <v>0.15</v>
      </c>
    </row>
    <row r="14">
      <c r="B14" s="8" t="s">
        <v>73</v>
      </c>
      <c r="C14" s="6" t="str">
        <f>IF(C12&gt;=C13,"Sí, viable","No, ajustar proyecto")</f>
        <v>Sí, viable</v>
      </c>
    </row>
    <row r="15">
      <c r="B15" s="8" t="s">
        <v>75</v>
      </c>
      <c r="C15" s="31">
        <f>IFERROR(IRR('Flujo de Caja'!E12:AB12),"n/d")</f>
        <v>0.02337890305</v>
      </c>
    </row>
    <row r="16">
      <c r="B16" s="6" t="s">
        <v>81</v>
      </c>
      <c r="C16" s="33">
        <f>IFERROR((1+C15)^12-1,"n/d")</f>
        <v>0.319585446</v>
      </c>
    </row>
    <row r="17">
      <c r="B17" s="27" t="s">
        <v>121</v>
      </c>
      <c r="C17" s="16">
        <v>0.15</v>
      </c>
    </row>
    <row r="18">
      <c r="B18" s="27" t="s">
        <v>123</v>
      </c>
      <c r="C18" s="16">
        <v>0.01</v>
      </c>
    </row>
    <row r="19">
      <c r="B19" s="6" t="s">
        <v>124</v>
      </c>
      <c r="C19" s="19">
        <f t="array" ref="C19">NPV(C18,'Flujo de Caja'!E12:AB12)</f>
        <v>317975.6206</v>
      </c>
    </row>
    <row r="20" ht="27.75" customHeight="1">
      <c r="B20" s="37" t="s">
        <v>128</v>
      </c>
    </row>
    <row r="21" ht="15.75" customHeight="1"/>
    <row r="22" ht="19.5" customHeight="1">
      <c r="A22" s="3" t="s">
        <v>129</v>
      </c>
      <c r="B22" s="4"/>
      <c r="C22" s="5"/>
    </row>
    <row r="23" ht="15.75" customHeight="1">
      <c r="B23" s="11" t="s">
        <v>130</v>
      </c>
      <c r="C23" s="15">
        <f>MAX(0,-MIN('Flujo de Caja'!E13:AB13))</f>
        <v>1781690</v>
      </c>
    </row>
    <row r="24" ht="15.75" customHeight="1">
      <c r="B24" s="11" t="s">
        <v>132</v>
      </c>
      <c r="C24" s="39">
        <f>Costes!E26</f>
        <v>0.75</v>
      </c>
    </row>
    <row r="25" ht="15.75" customHeight="1">
      <c r="B25" s="6" t="s">
        <v>133</v>
      </c>
      <c r="C25" s="19">
        <f>C6*C24</f>
        <v>1393372.5</v>
      </c>
    </row>
    <row r="26" ht="15.75" customHeight="1">
      <c r="B26" s="6" t="s">
        <v>134</v>
      </c>
      <c r="C26" s="19">
        <f>C6-C25</f>
        <v>464457.5</v>
      </c>
    </row>
    <row r="27" ht="42.0" customHeight="1">
      <c r="B27" s="37" t="s">
        <v>135</v>
      </c>
    </row>
    <row r="28" ht="15.75" customHeight="1"/>
    <row r="29" ht="15.75" customHeight="1">
      <c r="B29" s="6" t="s">
        <v>136</v>
      </c>
    </row>
    <row r="30" ht="15.75" customHeight="1">
      <c r="B30" s="8" t="s">
        <v>137</v>
      </c>
    </row>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1:C1"/>
    <mergeCell ref="A2:C2"/>
    <mergeCell ref="A4:C4"/>
    <mergeCell ref="A11:C11"/>
    <mergeCell ref="B20:C20"/>
    <mergeCell ref="A22:C22"/>
    <mergeCell ref="B27:C27"/>
  </mergeCells>
  <printOptions/>
  <pageMargins bottom="1.0" footer="0.0" header="0.0" left="0.75" right="0.75" top="1.0"/>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9999"/>
    <pageSetUpPr/>
  </sheetPr>
  <sheetViews>
    <sheetView workbookViewId="0"/>
  </sheetViews>
  <sheetFormatPr customHeight="1" defaultColWidth="14.43" defaultRowHeight="15.0"/>
  <cols>
    <col customWidth="1" min="1" max="1" width="4.0"/>
    <col customWidth="1" min="2" max="2" width="40.0"/>
    <col customWidth="1" min="3" max="3" width="70.0"/>
    <col customWidth="1" min="4" max="4" width="4.0"/>
    <col customWidth="1" min="5" max="26" width="8.71"/>
  </cols>
  <sheetData>
    <row r="1">
      <c r="A1" s="1" t="s">
        <v>0</v>
      </c>
    </row>
    <row r="2">
      <c r="A2" s="2" t="s">
        <v>4</v>
      </c>
    </row>
    <row r="4" ht="19.5" customHeight="1">
      <c r="A4" s="3" t="s">
        <v>5</v>
      </c>
      <c r="B4" s="4"/>
      <c r="C4" s="5"/>
    </row>
    <row r="6" ht="31.5" customHeight="1">
      <c r="B6" s="6" t="s">
        <v>12</v>
      </c>
      <c r="C6" s="9" t="s">
        <v>14</v>
      </c>
    </row>
    <row r="7" ht="31.5" customHeight="1">
      <c r="B7" s="6" t="s">
        <v>22</v>
      </c>
      <c r="C7" s="9" t="s">
        <v>23</v>
      </c>
    </row>
    <row r="8" ht="31.5" customHeight="1">
      <c r="B8" s="6" t="s">
        <v>24</v>
      </c>
      <c r="C8" s="9" t="s">
        <v>25</v>
      </c>
    </row>
    <row r="9" ht="31.5" customHeight="1">
      <c r="B9" s="6" t="s">
        <v>26</v>
      </c>
      <c r="C9" s="9" t="s">
        <v>27</v>
      </c>
    </row>
    <row r="10" ht="31.5" customHeight="1">
      <c r="B10" s="6" t="s">
        <v>28</v>
      </c>
      <c r="C10" s="9" t="s">
        <v>29</v>
      </c>
    </row>
    <row r="12" ht="19.5" customHeight="1">
      <c r="A12" s="3" t="s">
        <v>30</v>
      </c>
      <c r="B12" s="4"/>
      <c r="C12" s="5"/>
    </row>
    <row r="14">
      <c r="B14" s="14" t="s">
        <v>31</v>
      </c>
      <c r="C14" s="8" t="s">
        <v>33</v>
      </c>
    </row>
    <row r="15">
      <c r="B15" s="6" t="s">
        <v>34</v>
      </c>
      <c r="C15" s="8" t="s">
        <v>35</v>
      </c>
    </row>
    <row r="16">
      <c r="B16" s="18" t="s">
        <v>36</v>
      </c>
      <c r="C16" s="8" t="s">
        <v>42</v>
      </c>
    </row>
    <row r="18">
      <c r="B18" s="6" t="s">
        <v>43</v>
      </c>
    </row>
    <row r="19" ht="60.0" customHeight="1">
      <c r="B19" s="9" t="s">
        <v>44</v>
      </c>
    </row>
    <row r="21" ht="15.75" customHeight="1">
      <c r="B21" s="6" t="s">
        <v>45</v>
      </c>
    </row>
    <row r="22" ht="15.75" customHeight="1">
      <c r="B22" s="8" t="s">
        <v>46</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C1"/>
    <mergeCell ref="A2:C2"/>
    <mergeCell ref="A4:C4"/>
    <mergeCell ref="A12:C12"/>
    <mergeCell ref="B19:C19"/>
  </mergeCells>
  <printOptions/>
  <pageMargins bottom="1.0" footer="0.0" header="0.0" left="0.75" right="0.75" top="1.0"/>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5C8B6"/>
    <pageSetUpPr/>
  </sheetPr>
  <sheetViews>
    <sheetView workbookViewId="0">
      <pane xSplit="1.0" ySplit="4.0" topLeftCell="B5" activePane="bottomRight" state="frozen"/>
      <selection activeCell="B1" sqref="B1" pane="topRight"/>
      <selection activeCell="A5" sqref="A5" pane="bottomLeft"/>
      <selection activeCell="B5" sqref="B5" pane="bottomRight"/>
    </sheetView>
  </sheetViews>
  <sheetFormatPr customHeight="1" defaultColWidth="14.43" defaultRowHeight="15.0"/>
  <cols>
    <col customWidth="1" min="1" max="1" width="4.0"/>
    <col customWidth="1" min="2" max="2" width="26.0"/>
    <col customWidth="1" min="3" max="3" width="14.0"/>
    <col customWidth="1" min="4" max="4" width="16.0"/>
    <col customWidth="1" min="5" max="6" width="18.0"/>
    <col customWidth="1" min="7" max="26" width="8.71"/>
  </cols>
  <sheetData>
    <row r="1">
      <c r="A1" s="1" t="s">
        <v>1</v>
      </c>
    </row>
    <row r="2">
      <c r="A2" s="2" t="s">
        <v>3</v>
      </c>
    </row>
    <row r="4" ht="19.5" customHeight="1">
      <c r="A4" s="3" t="s">
        <v>6</v>
      </c>
      <c r="B4" s="4"/>
      <c r="C4" s="4"/>
      <c r="D4" s="4"/>
      <c r="E4" s="5"/>
    </row>
    <row r="5" ht="31.5" customHeight="1">
      <c r="B5" s="7" t="s">
        <v>13</v>
      </c>
      <c r="C5" s="7" t="s">
        <v>16</v>
      </c>
      <c r="D5" s="7" t="s">
        <v>17</v>
      </c>
      <c r="E5" s="7" t="s">
        <v>18</v>
      </c>
      <c r="F5" s="7" t="s">
        <v>19</v>
      </c>
    </row>
    <row r="6">
      <c r="B6" s="10" t="s">
        <v>20</v>
      </c>
      <c r="C6" s="10">
        <v>10.0</v>
      </c>
      <c r="D6" s="10">
        <v>100.0</v>
      </c>
      <c r="E6" s="13">
        <v>250000.0</v>
      </c>
      <c r="F6" s="17">
        <f t="shared" ref="F6:F9" si="1">C6*E6</f>
        <v>2500000</v>
      </c>
    </row>
    <row r="7">
      <c r="B7" s="21" t="s">
        <v>41</v>
      </c>
      <c r="C7" s="21">
        <v>0.0</v>
      </c>
      <c r="D7" s="21">
        <v>0.0</v>
      </c>
      <c r="E7" s="23">
        <v>0.0</v>
      </c>
      <c r="F7" s="24">
        <f t="shared" si="1"/>
        <v>0</v>
      </c>
    </row>
    <row r="8">
      <c r="B8" s="10" t="s">
        <v>58</v>
      </c>
      <c r="C8" s="10">
        <v>0.0</v>
      </c>
      <c r="D8" s="10">
        <v>0.0</v>
      </c>
      <c r="E8" s="13">
        <v>0.0</v>
      </c>
      <c r="F8" s="17">
        <f t="shared" si="1"/>
        <v>0</v>
      </c>
    </row>
    <row r="9">
      <c r="B9" s="21" t="s">
        <v>61</v>
      </c>
      <c r="C9" s="21">
        <v>0.0</v>
      </c>
      <c r="D9" s="21">
        <v>0.0</v>
      </c>
      <c r="E9" s="23">
        <v>0.0</v>
      </c>
      <c r="F9" s="24">
        <f t="shared" si="1"/>
        <v>0</v>
      </c>
    </row>
    <row r="10">
      <c r="B10" s="25" t="s">
        <v>65</v>
      </c>
      <c r="C10" s="25">
        <f t="shared" ref="C10:D10" si="2">SUM(C6:C9)</f>
        <v>10</v>
      </c>
      <c r="D10" s="25">
        <f t="shared" si="2"/>
        <v>100</v>
      </c>
      <c r="E10" s="28"/>
      <c r="F10" s="30">
        <f>SUM(F6:F9)</f>
        <v>2500000</v>
      </c>
    </row>
    <row r="12" ht="19.5" customHeight="1">
      <c r="A12" s="3" t="s">
        <v>77</v>
      </c>
      <c r="B12" s="4"/>
      <c r="C12" s="4"/>
      <c r="D12" s="4"/>
      <c r="E12" s="5"/>
    </row>
    <row r="13">
      <c r="B13" s="8" t="s">
        <v>78</v>
      </c>
      <c r="F13" s="22">
        <v>18.0</v>
      </c>
    </row>
    <row r="14">
      <c r="B14" s="8" t="s">
        <v>79</v>
      </c>
      <c r="F14" s="16">
        <v>0.03</v>
      </c>
    </row>
    <row r="16">
      <c r="B16" s="11" t="s">
        <v>80</v>
      </c>
      <c r="F16" s="15">
        <f>F10</f>
        <v>2500000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E1"/>
    <mergeCell ref="A2:E2"/>
    <mergeCell ref="A4:E4"/>
    <mergeCell ref="A12:E12"/>
  </mergeCells>
  <printOptions/>
  <pageMargins bottom="1.0" footer="0.0" header="0.0" left="0.75" right="0.75" top="1.0"/>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5C8B6"/>
    <pageSetUpPr/>
  </sheetPr>
  <sheetViews>
    <sheetView workbookViewId="0">
      <pane xSplit="1.0" ySplit="4.0" topLeftCell="B5" activePane="bottomRight" state="frozen"/>
      <selection activeCell="B1" sqref="B1" pane="topRight"/>
      <selection activeCell="A5" sqref="A5" pane="bottomLeft"/>
      <selection activeCell="B5" sqref="B5" pane="bottomRight"/>
    </sheetView>
  </sheetViews>
  <sheetFormatPr customHeight="1" defaultColWidth="14.43" defaultRowHeight="15.0"/>
  <cols>
    <col customWidth="1" min="1" max="1" width="4.0"/>
    <col customWidth="1" min="2" max="2" width="34.0"/>
    <col customWidth="1" min="3" max="4" width="16.0"/>
    <col customWidth="1" min="5" max="5" width="18.0"/>
    <col customWidth="1" min="6" max="6" width="4.0"/>
    <col customWidth="1" min="7" max="26" width="8.71"/>
  </cols>
  <sheetData>
    <row r="1">
      <c r="A1" s="1" t="s">
        <v>8</v>
      </c>
    </row>
    <row r="2">
      <c r="A2" s="2" t="s">
        <v>10</v>
      </c>
    </row>
    <row r="4" ht="19.5" customHeight="1">
      <c r="A4" s="3" t="s">
        <v>11</v>
      </c>
      <c r="B4" s="4"/>
      <c r="C4" s="4"/>
      <c r="D4" s="5"/>
    </row>
    <row r="5">
      <c r="B5" s="8" t="s">
        <v>15</v>
      </c>
      <c r="E5" s="12">
        <v>400000.0</v>
      </c>
    </row>
    <row r="6">
      <c r="B6" s="8" t="s">
        <v>32</v>
      </c>
      <c r="E6" s="16">
        <v>0.1</v>
      </c>
    </row>
    <row r="7">
      <c r="B7" s="8" t="s">
        <v>39</v>
      </c>
      <c r="E7" s="12">
        <v>5000.0</v>
      </c>
    </row>
    <row r="8">
      <c r="B8" s="6" t="s">
        <v>40</v>
      </c>
      <c r="E8" s="19">
        <f>E5*(1+E6)+E7</f>
        <v>445000</v>
      </c>
    </row>
    <row r="10" ht="19.5" customHeight="1">
      <c r="A10" s="3" t="s">
        <v>47</v>
      </c>
      <c r="B10" s="4"/>
      <c r="C10" s="4"/>
      <c r="D10" s="5"/>
    </row>
    <row r="11">
      <c r="B11" s="8" t="s">
        <v>48</v>
      </c>
      <c r="E11" s="22">
        <v>1000.0</v>
      </c>
    </row>
    <row r="12">
      <c r="B12" s="8" t="s">
        <v>50</v>
      </c>
      <c r="E12" s="12">
        <v>1100.0</v>
      </c>
    </row>
    <row r="13">
      <c r="B13" s="8" t="s">
        <v>51</v>
      </c>
      <c r="E13" s="16">
        <v>0.05</v>
      </c>
    </row>
    <row r="14">
      <c r="B14" s="6" t="s">
        <v>52</v>
      </c>
      <c r="E14" s="19">
        <f>E11*E12*(1+E13)</f>
        <v>1155000</v>
      </c>
    </row>
    <row r="16" ht="19.5" customHeight="1">
      <c r="A16" s="3" t="s">
        <v>53</v>
      </c>
      <c r="B16" s="4"/>
      <c r="C16" s="4"/>
      <c r="D16" s="5"/>
    </row>
    <row r="17">
      <c r="B17" s="8" t="s">
        <v>55</v>
      </c>
      <c r="E17" s="16">
        <v>0.1</v>
      </c>
    </row>
    <row r="18">
      <c r="B18" s="8" t="s">
        <v>56</v>
      </c>
      <c r="E18" s="16">
        <v>0.04</v>
      </c>
    </row>
    <row r="19">
      <c r="B19" s="8" t="s">
        <v>57</v>
      </c>
      <c r="E19" s="12">
        <v>15000.0</v>
      </c>
    </row>
    <row r="20">
      <c r="B20" s="6" t="s">
        <v>59</v>
      </c>
      <c r="E20" s="19">
        <f>(Costes!E11*Costes!E12)*(E17+E18)+E19</f>
        <v>169000</v>
      </c>
    </row>
    <row r="21" ht="15.75" customHeight="1"/>
    <row r="22" ht="19.5" customHeight="1">
      <c r="A22" s="3" t="s">
        <v>63</v>
      </c>
      <c r="B22" s="4"/>
      <c r="C22" s="4"/>
      <c r="D22" s="5"/>
    </row>
    <row r="23" ht="15.75" customHeight="1">
      <c r="B23" s="8" t="s">
        <v>64</v>
      </c>
      <c r="E23" s="16">
        <v>0.01</v>
      </c>
    </row>
    <row r="24" ht="15.75" customHeight="1">
      <c r="B24" s="8" t="s">
        <v>66</v>
      </c>
      <c r="E24" s="16">
        <v>0.06</v>
      </c>
    </row>
    <row r="25" ht="15.75" customHeight="1">
      <c r="B25" s="11" t="s">
        <v>67</v>
      </c>
      <c r="E25" s="15">
        <f>Ingresos!F16*Ingresos!F14</f>
        <v>75000</v>
      </c>
    </row>
    <row r="26" ht="15.75" customHeight="1">
      <c r="B26" s="8" t="s">
        <v>68</v>
      </c>
      <c r="E26" s="16">
        <v>0.75</v>
      </c>
    </row>
    <row r="27" ht="15.75" customHeight="1">
      <c r="B27" s="6" t="s">
        <v>69</v>
      </c>
      <c r="E27" s="19">
        <f>E25</f>
        <v>75000</v>
      </c>
    </row>
    <row r="28" ht="15.75" customHeight="1"/>
    <row r="29" ht="19.5" customHeight="1">
      <c r="A29" s="3" t="s">
        <v>70</v>
      </c>
      <c r="B29" s="4"/>
      <c r="C29" s="4"/>
      <c r="D29" s="5"/>
    </row>
    <row r="30" ht="15.75" customHeight="1">
      <c r="B30" s="6" t="s">
        <v>72</v>
      </c>
      <c r="E30" s="19">
        <f>E8+E14+E20+E27</f>
        <v>1844000</v>
      </c>
    </row>
    <row r="31" ht="15.75" customHeight="1">
      <c r="B31" s="8" t="s">
        <v>74</v>
      </c>
      <c r="E31" s="29">
        <f>E23*E26*E30</f>
        <v>13830</v>
      </c>
    </row>
    <row r="32" ht="15.75" customHeight="1">
      <c r="B32" s="6" t="s">
        <v>76</v>
      </c>
      <c r="E32" s="19">
        <f>E30+E31</f>
        <v>1857830</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1:D1"/>
    <mergeCell ref="A2:D2"/>
    <mergeCell ref="A4:D4"/>
    <mergeCell ref="A10:D10"/>
    <mergeCell ref="A16:D16"/>
    <mergeCell ref="A22:D22"/>
    <mergeCell ref="A29:D29"/>
  </mergeCells>
  <printOptions/>
  <pageMargins bottom="1.0" footer="0.0" header="0.0" left="0.75" right="0.75" top="1.0"/>
  <pageSetup paperSize="9"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4B400"/>
    <pageSetUpPr/>
  </sheetPr>
  <sheetViews>
    <sheetView workbookViewId="0">
      <pane xSplit="4.0" ySplit="4.0" topLeftCell="E5" activePane="bottomRight" state="frozen"/>
      <selection activeCell="E1" sqref="E1" pane="topRight"/>
      <selection activeCell="A5" sqref="A5" pane="bottomLeft"/>
      <selection activeCell="E5" sqref="E5" pane="bottomRight"/>
    </sheetView>
  </sheetViews>
  <sheetFormatPr customHeight="1" defaultColWidth="14.43" defaultRowHeight="15.0"/>
  <cols>
    <col customWidth="1" min="1" max="1" width="4.0"/>
    <col customWidth="1" min="2" max="2" width="30.0"/>
    <col customWidth="1" min="3" max="4" width="11.0"/>
    <col customWidth="1" min="5" max="28" width="9.0"/>
    <col customWidth="1" min="29" max="29" width="12.0"/>
  </cols>
  <sheetData>
    <row r="1">
      <c r="A1" s="1" t="s">
        <v>82</v>
      </c>
    </row>
    <row r="2">
      <c r="A2" s="2" t="s">
        <v>83</v>
      </c>
    </row>
    <row r="4">
      <c r="B4" s="7" t="s">
        <v>84</v>
      </c>
      <c r="C4" s="7" t="s">
        <v>85</v>
      </c>
      <c r="D4" s="7" t="s">
        <v>86</v>
      </c>
      <c r="E4" s="32" t="s">
        <v>87</v>
      </c>
      <c r="F4" s="32" t="s">
        <v>88</v>
      </c>
      <c r="G4" s="32" t="s">
        <v>89</v>
      </c>
      <c r="H4" s="32" t="s">
        <v>90</v>
      </c>
      <c r="I4" s="32" t="s">
        <v>91</v>
      </c>
      <c r="J4" s="32" t="s">
        <v>92</v>
      </c>
      <c r="K4" s="32" t="s">
        <v>93</v>
      </c>
      <c r="L4" s="32" t="s">
        <v>94</v>
      </c>
      <c r="M4" s="32" t="s">
        <v>95</v>
      </c>
      <c r="N4" s="32" t="s">
        <v>96</v>
      </c>
      <c r="O4" s="32" t="s">
        <v>97</v>
      </c>
      <c r="P4" s="32" t="s">
        <v>98</v>
      </c>
      <c r="Q4" s="32" t="s">
        <v>99</v>
      </c>
      <c r="R4" s="32" t="s">
        <v>100</v>
      </c>
      <c r="S4" s="32" t="s">
        <v>101</v>
      </c>
      <c r="T4" s="32" t="s">
        <v>102</v>
      </c>
      <c r="U4" s="32" t="s">
        <v>104</v>
      </c>
      <c r="V4" s="32" t="s">
        <v>106</v>
      </c>
      <c r="W4" s="32" t="s">
        <v>107</v>
      </c>
      <c r="X4" s="32" t="s">
        <v>109</v>
      </c>
      <c r="Y4" s="32" t="s">
        <v>111</v>
      </c>
      <c r="Z4" s="32" t="s">
        <v>114</v>
      </c>
      <c r="AA4" s="32" t="s">
        <v>115</v>
      </c>
      <c r="AB4" s="32" t="s">
        <v>117</v>
      </c>
      <c r="AC4" s="34" t="s">
        <v>119</v>
      </c>
    </row>
    <row r="5">
      <c r="B5" s="35" t="s">
        <v>122</v>
      </c>
      <c r="C5" s="36">
        <v>1.0</v>
      </c>
      <c r="D5" s="36">
        <v>1.0</v>
      </c>
      <c r="E5" s="24">
        <f>IF(AND(1&gt;=$C5,1&lt;=$D5),(Costes!E8)/($D5-$C5+1),0)</f>
        <v>445000</v>
      </c>
      <c r="F5" s="24">
        <f>IF(AND(2&gt;=$C5,2&lt;=$D5),(Costes!E8)/($D5-$C5+1),0)</f>
        <v>0</v>
      </c>
      <c r="G5" s="24">
        <f>IF(AND(3&gt;=$C5,3&lt;=$D5),(Costes!E8)/($D5-$C5+1),0)</f>
        <v>0</v>
      </c>
      <c r="H5" s="24">
        <f>IF(AND(4&gt;=$C5,4&lt;=$D5),(Costes!E8)/($D5-$C5+1),0)</f>
        <v>0</v>
      </c>
      <c r="I5" s="24">
        <f>IF(AND(5&gt;=$C5,5&lt;=$D5),(Costes!E8)/($D5-$C5+1),0)</f>
        <v>0</v>
      </c>
      <c r="J5" s="24">
        <f>IF(AND(6&gt;=$C5,6&lt;=$D5),(Costes!E8)/($D5-$C5+1),0)</f>
        <v>0</v>
      </c>
      <c r="K5" s="24">
        <f>IF(AND(7&gt;=$C5,7&lt;=$D5),(Costes!E8)/($D5-$C5+1),0)</f>
        <v>0</v>
      </c>
      <c r="L5" s="24">
        <f>IF(AND(8&gt;=$C5,8&lt;=$D5),(Costes!E8)/($D5-$C5+1),0)</f>
        <v>0</v>
      </c>
      <c r="M5" s="24">
        <f>IF(AND(9&gt;=$C5,9&lt;=$D5),(Costes!E8)/($D5-$C5+1),0)</f>
        <v>0</v>
      </c>
      <c r="N5" s="24">
        <f>IF(AND(10&gt;=$C5,10&lt;=$D5),(Costes!E8)/($D5-$C5+1),0)</f>
        <v>0</v>
      </c>
      <c r="O5" s="24">
        <f>IF(AND(11&gt;=$C5,11&lt;=$D5),(Costes!E8)/($D5-$C5+1),0)</f>
        <v>0</v>
      </c>
      <c r="P5" s="24">
        <f>IF(AND(12&gt;=$C5,12&lt;=$D5),(Costes!E8)/($D5-$C5+1),0)</f>
        <v>0</v>
      </c>
      <c r="Q5" s="24">
        <f>IF(AND(13&gt;=$C5,13&lt;=$D5),(Costes!E8)/($D5-$C5+1),0)</f>
        <v>0</v>
      </c>
      <c r="R5" s="24">
        <f>IF(AND(14&gt;=$C5,14&lt;=$D5),(Costes!E8)/($D5-$C5+1),0)</f>
        <v>0</v>
      </c>
      <c r="S5" s="24">
        <f>IF(AND(15&gt;=$C5,15&lt;=$D5),(Costes!E8)/($D5-$C5+1),0)</f>
        <v>0</v>
      </c>
      <c r="T5" s="24">
        <f>IF(AND(16&gt;=$C5,16&lt;=$D5),(Costes!E8)/($D5-$C5+1),0)</f>
        <v>0</v>
      </c>
      <c r="U5" s="24">
        <f>IF(AND(17&gt;=$C5,17&lt;=$D5),(Costes!E8)/($D5-$C5+1),0)</f>
        <v>0</v>
      </c>
      <c r="V5" s="24">
        <f>IF(AND(18&gt;=$C5,18&lt;=$D5),(Costes!E8)/($D5-$C5+1),0)</f>
        <v>0</v>
      </c>
      <c r="W5" s="24">
        <f>IF(AND(19&gt;=$C5,19&lt;=$D5),(Costes!E8)/($D5-$C5+1),0)</f>
        <v>0</v>
      </c>
      <c r="X5" s="24">
        <f>IF(AND(20&gt;=$C5,20&lt;=$D5),(Costes!E8)/($D5-$C5+1),0)</f>
        <v>0</v>
      </c>
      <c r="Y5" s="24">
        <f>IF(AND(21&gt;=$C5,21&lt;=$D5),(Costes!E8)/($D5-$C5+1),0)</f>
        <v>0</v>
      </c>
      <c r="Z5" s="24">
        <f>IF(AND(22&gt;=$C5,22&lt;=$D5),(Costes!E8)/($D5-$C5+1),0)</f>
        <v>0</v>
      </c>
      <c r="AA5" s="24">
        <f>IF(AND(23&gt;=$C5,23&lt;=$D5),(Costes!E8)/($D5-$C5+1),0)</f>
        <v>0</v>
      </c>
      <c r="AB5" s="24">
        <f>IF(AND(24&gt;=$C5,24&lt;=$D5),(Costes!E8)/($D5-$C5+1),0)</f>
        <v>0</v>
      </c>
      <c r="AC5" s="24">
        <f t="shared" ref="AC5:AC8" si="1">SUM(E5:AB5)</f>
        <v>445000</v>
      </c>
    </row>
    <row r="6">
      <c r="B6" s="35" t="s">
        <v>138</v>
      </c>
      <c r="C6" s="36">
        <v>6.0</v>
      </c>
      <c r="D6" s="36">
        <v>18.0</v>
      </c>
      <c r="E6" s="24">
        <f>IF(AND(1&gt;=$C6,1&lt;=$D6),(Costes!E14)/($D6-$C6+1),0)</f>
        <v>0</v>
      </c>
      <c r="F6" s="24">
        <f>IF(AND(2&gt;=$C6,2&lt;=$D6),(Costes!E14)/($D6-$C6+1),0)</f>
        <v>0</v>
      </c>
      <c r="G6" s="24">
        <f>IF(AND(3&gt;=$C6,3&lt;=$D6),(Costes!E14)/($D6-$C6+1),0)</f>
        <v>0</v>
      </c>
      <c r="H6" s="24">
        <f>IF(AND(4&gt;=$C6,4&lt;=$D6),(Costes!E14)/($D6-$C6+1),0)</f>
        <v>0</v>
      </c>
      <c r="I6" s="24">
        <f>IF(AND(5&gt;=$C6,5&lt;=$D6),(Costes!E14)/($D6-$C6+1),0)</f>
        <v>0</v>
      </c>
      <c r="J6" s="24">
        <f>IF(AND(6&gt;=$C6,6&lt;=$D6),(Costes!E14)/($D6-$C6+1),0)</f>
        <v>88846.15385</v>
      </c>
      <c r="K6" s="24">
        <f>IF(AND(7&gt;=$C6,7&lt;=$D6),(Costes!E14)/($D6-$C6+1),0)</f>
        <v>88846.15385</v>
      </c>
      <c r="L6" s="24">
        <f>IF(AND(8&gt;=$C6,8&lt;=$D6),(Costes!E14)/($D6-$C6+1),0)</f>
        <v>88846.15385</v>
      </c>
      <c r="M6" s="24">
        <f>IF(AND(9&gt;=$C6,9&lt;=$D6),(Costes!E14)/($D6-$C6+1),0)</f>
        <v>88846.15385</v>
      </c>
      <c r="N6" s="24">
        <f>IF(AND(10&gt;=$C6,10&lt;=$D6),(Costes!E14)/($D6-$C6+1),0)</f>
        <v>88846.15385</v>
      </c>
      <c r="O6" s="24">
        <f>IF(AND(11&gt;=$C6,11&lt;=$D6),(Costes!E14)/($D6-$C6+1),0)</f>
        <v>88846.15385</v>
      </c>
      <c r="P6" s="24">
        <f>IF(AND(12&gt;=$C6,12&lt;=$D6),(Costes!E14)/($D6-$C6+1),0)</f>
        <v>88846.15385</v>
      </c>
      <c r="Q6" s="24">
        <f>IF(AND(13&gt;=$C6,13&lt;=$D6),(Costes!E14)/($D6-$C6+1),0)</f>
        <v>88846.15385</v>
      </c>
      <c r="R6" s="24">
        <f>IF(AND(14&gt;=$C6,14&lt;=$D6),(Costes!E14)/($D6-$C6+1),0)</f>
        <v>88846.15385</v>
      </c>
      <c r="S6" s="24">
        <f>IF(AND(15&gt;=$C6,15&lt;=$D6),(Costes!E14)/($D6-$C6+1),0)</f>
        <v>88846.15385</v>
      </c>
      <c r="T6" s="24">
        <f>IF(AND(16&gt;=$C6,16&lt;=$D6),(Costes!E14)/($D6-$C6+1),0)</f>
        <v>88846.15385</v>
      </c>
      <c r="U6" s="24">
        <f>IF(AND(17&gt;=$C6,17&lt;=$D6),(Costes!E14)/($D6-$C6+1),0)</f>
        <v>88846.15385</v>
      </c>
      <c r="V6" s="24">
        <f>IF(AND(18&gt;=$C6,18&lt;=$D6),(Costes!E14)/($D6-$C6+1),0)</f>
        <v>88846.15385</v>
      </c>
      <c r="W6" s="24">
        <f>IF(AND(19&gt;=$C6,19&lt;=$D6),(Costes!E14)/($D6-$C6+1),0)</f>
        <v>0</v>
      </c>
      <c r="X6" s="24">
        <f>IF(AND(20&gt;=$C6,20&lt;=$D6),(Costes!E14)/($D6-$C6+1),0)</f>
        <v>0</v>
      </c>
      <c r="Y6" s="24">
        <f>IF(AND(21&gt;=$C6,21&lt;=$D6),(Costes!E14)/($D6-$C6+1),0)</f>
        <v>0</v>
      </c>
      <c r="Z6" s="24">
        <f>IF(AND(22&gt;=$C6,22&lt;=$D6),(Costes!E14)/($D6-$C6+1),0)</f>
        <v>0</v>
      </c>
      <c r="AA6" s="24">
        <f>IF(AND(23&gt;=$C6,23&lt;=$D6),(Costes!E14)/($D6-$C6+1),0)</f>
        <v>0</v>
      </c>
      <c r="AB6" s="24">
        <f>IF(AND(24&gt;=$C6,24&lt;=$D6),(Costes!E14)/($D6-$C6+1),0)</f>
        <v>0</v>
      </c>
      <c r="AC6" s="24">
        <f t="shared" si="1"/>
        <v>1155000</v>
      </c>
    </row>
    <row r="7">
      <c r="B7" s="35" t="s">
        <v>139</v>
      </c>
      <c r="C7" s="36">
        <v>2.0</v>
      </c>
      <c r="D7" s="36">
        <v>6.0</v>
      </c>
      <c r="E7" s="24">
        <f>IF(AND(1&gt;=$C7,1&lt;=$D7),(Costes!E20)/($D7-$C7+1),0)</f>
        <v>0</v>
      </c>
      <c r="F7" s="24">
        <f>IF(AND(2&gt;=$C7,2&lt;=$D7),(Costes!E20)/($D7-$C7+1),0)</f>
        <v>33800</v>
      </c>
      <c r="G7" s="24">
        <f>IF(AND(3&gt;=$C7,3&lt;=$D7),(Costes!E20)/($D7-$C7+1),0)</f>
        <v>33800</v>
      </c>
      <c r="H7" s="24">
        <f>IF(AND(4&gt;=$C7,4&lt;=$D7),(Costes!E20)/($D7-$C7+1),0)</f>
        <v>33800</v>
      </c>
      <c r="I7" s="24">
        <f>IF(AND(5&gt;=$C7,5&lt;=$D7),(Costes!E20)/($D7-$C7+1),0)</f>
        <v>33800</v>
      </c>
      <c r="J7" s="24">
        <f>IF(AND(6&gt;=$C7,6&lt;=$D7),(Costes!E20)/($D7-$C7+1),0)</f>
        <v>33800</v>
      </c>
      <c r="K7" s="24">
        <f>IF(AND(7&gt;=$C7,7&lt;=$D7),(Costes!E20)/($D7-$C7+1),0)</f>
        <v>0</v>
      </c>
      <c r="L7" s="24">
        <f>IF(AND(8&gt;=$C7,8&lt;=$D7),(Costes!E20)/($D7-$C7+1),0)</f>
        <v>0</v>
      </c>
      <c r="M7" s="24">
        <f>IF(AND(9&gt;=$C7,9&lt;=$D7),(Costes!E20)/($D7-$C7+1),0)</f>
        <v>0</v>
      </c>
      <c r="N7" s="24">
        <f>IF(AND(10&gt;=$C7,10&lt;=$D7),(Costes!E20)/($D7-$C7+1),0)</f>
        <v>0</v>
      </c>
      <c r="O7" s="24">
        <f>IF(AND(11&gt;=$C7,11&lt;=$D7),(Costes!E20)/($D7-$C7+1),0)</f>
        <v>0</v>
      </c>
      <c r="P7" s="24">
        <f>IF(AND(12&gt;=$C7,12&lt;=$D7),(Costes!E20)/($D7-$C7+1),0)</f>
        <v>0</v>
      </c>
      <c r="Q7" s="24">
        <f>IF(AND(13&gt;=$C7,13&lt;=$D7),(Costes!E20)/($D7-$C7+1),0)</f>
        <v>0</v>
      </c>
      <c r="R7" s="24">
        <f>IF(AND(14&gt;=$C7,14&lt;=$D7),(Costes!E20)/($D7-$C7+1),0)</f>
        <v>0</v>
      </c>
      <c r="S7" s="24">
        <f>IF(AND(15&gt;=$C7,15&lt;=$D7),(Costes!E20)/($D7-$C7+1),0)</f>
        <v>0</v>
      </c>
      <c r="T7" s="24">
        <f>IF(AND(16&gt;=$C7,16&lt;=$D7),(Costes!E20)/($D7-$C7+1),0)</f>
        <v>0</v>
      </c>
      <c r="U7" s="24">
        <f>IF(AND(17&gt;=$C7,17&lt;=$D7),(Costes!E20)/($D7-$C7+1),0)</f>
        <v>0</v>
      </c>
      <c r="V7" s="24">
        <f>IF(AND(18&gt;=$C7,18&lt;=$D7),(Costes!E20)/($D7-$C7+1),0)</f>
        <v>0</v>
      </c>
      <c r="W7" s="24">
        <f>IF(AND(19&gt;=$C7,19&lt;=$D7),(Costes!E20)/($D7-$C7+1),0)</f>
        <v>0</v>
      </c>
      <c r="X7" s="24">
        <f>IF(AND(20&gt;=$C7,20&lt;=$D7),(Costes!E20)/($D7-$C7+1),0)</f>
        <v>0</v>
      </c>
      <c r="Y7" s="24">
        <f>IF(AND(21&gt;=$C7,21&lt;=$D7),(Costes!E20)/($D7-$C7+1),0)</f>
        <v>0</v>
      </c>
      <c r="Z7" s="24">
        <f>IF(AND(22&gt;=$C7,22&lt;=$D7),(Costes!E20)/($D7-$C7+1),0)</f>
        <v>0</v>
      </c>
      <c r="AA7" s="24">
        <f>IF(AND(23&gt;=$C7,23&lt;=$D7),(Costes!E20)/($D7-$C7+1),0)</f>
        <v>0</v>
      </c>
      <c r="AB7" s="24">
        <f>IF(AND(24&gt;=$C7,24&lt;=$D7),(Costes!E20)/($D7-$C7+1),0)</f>
        <v>0</v>
      </c>
      <c r="AC7" s="24">
        <f t="shared" si="1"/>
        <v>169000</v>
      </c>
    </row>
    <row r="8">
      <c r="B8" s="35" t="s">
        <v>140</v>
      </c>
      <c r="C8" s="36">
        <v>18.0</v>
      </c>
      <c r="D8" s="36">
        <v>24.0</v>
      </c>
      <c r="E8" s="24">
        <f>IF(AND(1&gt;=$C8,1&lt;=$D8),(Costes!E27+Costes!E31)/($D8-$C8+1),0)</f>
        <v>0</v>
      </c>
      <c r="F8" s="24">
        <f>IF(AND(2&gt;=$C8,2&lt;=$D8),(Costes!E27+Costes!E31)/($D8-$C8+1),0)</f>
        <v>0</v>
      </c>
      <c r="G8" s="24">
        <f>IF(AND(3&gt;=$C8,3&lt;=$D8),(Costes!E27+Costes!E31)/($D8-$C8+1),0)</f>
        <v>0</v>
      </c>
      <c r="H8" s="24">
        <f>IF(AND(4&gt;=$C8,4&lt;=$D8),(Costes!E27+Costes!E31)/($D8-$C8+1),0)</f>
        <v>0</v>
      </c>
      <c r="I8" s="24">
        <f>IF(AND(5&gt;=$C8,5&lt;=$D8),(Costes!E27+Costes!E31)/($D8-$C8+1),0)</f>
        <v>0</v>
      </c>
      <c r="J8" s="24">
        <f>IF(AND(6&gt;=$C8,6&lt;=$D8),(Costes!E27+Costes!E31)/($D8-$C8+1),0)</f>
        <v>0</v>
      </c>
      <c r="K8" s="24">
        <f>IF(AND(7&gt;=$C8,7&lt;=$D8),(Costes!E27+Costes!E31)/($D8-$C8+1),0)</f>
        <v>0</v>
      </c>
      <c r="L8" s="24">
        <f>IF(AND(8&gt;=$C8,8&lt;=$D8),(Costes!E27+Costes!E31)/($D8-$C8+1),0)</f>
        <v>0</v>
      </c>
      <c r="M8" s="24">
        <f>IF(AND(9&gt;=$C8,9&lt;=$D8),(Costes!E27+Costes!E31)/($D8-$C8+1),0)</f>
        <v>0</v>
      </c>
      <c r="N8" s="24">
        <f>IF(AND(10&gt;=$C8,10&lt;=$D8),(Costes!E27+Costes!E31)/($D8-$C8+1),0)</f>
        <v>0</v>
      </c>
      <c r="O8" s="24">
        <f>IF(AND(11&gt;=$C8,11&lt;=$D8),(Costes!E27+Costes!E31)/($D8-$C8+1),0)</f>
        <v>0</v>
      </c>
      <c r="P8" s="24">
        <f>IF(AND(12&gt;=$C8,12&lt;=$D8),(Costes!E27+Costes!E31)/($D8-$C8+1),0)</f>
        <v>0</v>
      </c>
      <c r="Q8" s="24">
        <f>IF(AND(13&gt;=$C8,13&lt;=$D8),(Costes!E27+Costes!E31)/($D8-$C8+1),0)</f>
        <v>0</v>
      </c>
      <c r="R8" s="24">
        <f>IF(AND(14&gt;=$C8,14&lt;=$D8),(Costes!E27+Costes!E31)/($D8-$C8+1),0)</f>
        <v>0</v>
      </c>
      <c r="S8" s="24">
        <f>IF(AND(15&gt;=$C8,15&lt;=$D8),(Costes!E27+Costes!E31)/($D8-$C8+1),0)</f>
        <v>0</v>
      </c>
      <c r="T8" s="24">
        <f>IF(AND(16&gt;=$C8,16&lt;=$D8),(Costes!E27+Costes!E31)/($D8-$C8+1),0)</f>
        <v>0</v>
      </c>
      <c r="U8" s="24">
        <f>IF(AND(17&gt;=$C8,17&lt;=$D8),(Costes!E27+Costes!E31)/($D8-$C8+1),0)</f>
        <v>0</v>
      </c>
      <c r="V8" s="24">
        <f>IF(AND(18&gt;=$C8,18&lt;=$D8),(Costes!E27+Costes!E31)/($D8-$C8+1),0)</f>
        <v>12690</v>
      </c>
      <c r="W8" s="24">
        <f>IF(AND(19&gt;=$C8,19&lt;=$D8),(Costes!E27+Costes!E31)/($D8-$C8+1),0)</f>
        <v>12690</v>
      </c>
      <c r="X8" s="24">
        <f>IF(AND(20&gt;=$C8,20&lt;=$D8),(Costes!E27+Costes!E31)/($D8-$C8+1),0)</f>
        <v>12690</v>
      </c>
      <c r="Y8" s="24">
        <f>IF(AND(21&gt;=$C8,21&lt;=$D8),(Costes!E27+Costes!E31)/($D8-$C8+1),0)</f>
        <v>12690</v>
      </c>
      <c r="Z8" s="24">
        <f>IF(AND(22&gt;=$C8,22&lt;=$D8),(Costes!E27+Costes!E31)/($D8-$C8+1),0)</f>
        <v>12690</v>
      </c>
      <c r="AA8" s="24">
        <f>IF(AND(23&gt;=$C8,23&lt;=$D8),(Costes!E27+Costes!E31)/($D8-$C8+1),0)</f>
        <v>12690</v>
      </c>
      <c r="AB8" s="24">
        <f>IF(AND(24&gt;=$C8,24&lt;=$D8),(Costes!E27+Costes!E31)/($D8-$C8+1),0)</f>
        <v>12690</v>
      </c>
      <c r="AC8" s="24">
        <f t="shared" si="1"/>
        <v>88830</v>
      </c>
    </row>
    <row r="9">
      <c r="B9" s="25" t="s">
        <v>141</v>
      </c>
      <c r="C9" s="28"/>
      <c r="D9" s="28"/>
      <c r="E9" s="30">
        <f t="shared" ref="E9:AC9" si="2">SUM(E5:E8)</f>
        <v>445000</v>
      </c>
      <c r="F9" s="30">
        <f t="shared" si="2"/>
        <v>33800</v>
      </c>
      <c r="G9" s="30">
        <f t="shared" si="2"/>
        <v>33800</v>
      </c>
      <c r="H9" s="30">
        <f t="shared" si="2"/>
        <v>33800</v>
      </c>
      <c r="I9" s="30">
        <f t="shared" si="2"/>
        <v>33800</v>
      </c>
      <c r="J9" s="30">
        <f t="shared" si="2"/>
        <v>122646.1538</v>
      </c>
      <c r="K9" s="30">
        <f t="shared" si="2"/>
        <v>88846.15385</v>
      </c>
      <c r="L9" s="30">
        <f t="shared" si="2"/>
        <v>88846.15385</v>
      </c>
      <c r="M9" s="30">
        <f t="shared" si="2"/>
        <v>88846.15385</v>
      </c>
      <c r="N9" s="30">
        <f t="shared" si="2"/>
        <v>88846.15385</v>
      </c>
      <c r="O9" s="30">
        <f t="shared" si="2"/>
        <v>88846.15385</v>
      </c>
      <c r="P9" s="30">
        <f t="shared" si="2"/>
        <v>88846.15385</v>
      </c>
      <c r="Q9" s="30">
        <f t="shared" si="2"/>
        <v>88846.15385</v>
      </c>
      <c r="R9" s="30">
        <f t="shared" si="2"/>
        <v>88846.15385</v>
      </c>
      <c r="S9" s="30">
        <f t="shared" si="2"/>
        <v>88846.15385</v>
      </c>
      <c r="T9" s="30">
        <f t="shared" si="2"/>
        <v>88846.15385</v>
      </c>
      <c r="U9" s="30">
        <f t="shared" si="2"/>
        <v>88846.15385</v>
      </c>
      <c r="V9" s="30">
        <f t="shared" si="2"/>
        <v>101536.1538</v>
      </c>
      <c r="W9" s="30">
        <f t="shared" si="2"/>
        <v>12690</v>
      </c>
      <c r="X9" s="30">
        <f t="shared" si="2"/>
        <v>12690</v>
      </c>
      <c r="Y9" s="30">
        <f t="shared" si="2"/>
        <v>12690</v>
      </c>
      <c r="Z9" s="30">
        <f t="shared" si="2"/>
        <v>12690</v>
      </c>
      <c r="AA9" s="30">
        <f t="shared" si="2"/>
        <v>12690</v>
      </c>
      <c r="AB9" s="30">
        <f t="shared" si="2"/>
        <v>12690</v>
      </c>
      <c r="AC9" s="30">
        <f t="shared" si="2"/>
        <v>1857830</v>
      </c>
    </row>
    <row r="11">
      <c r="B11" s="40" t="s">
        <v>142</v>
      </c>
      <c r="C11" s="36">
        <v>19.0</v>
      </c>
      <c r="D11" s="36">
        <v>24.0</v>
      </c>
      <c r="E11" s="24">
        <f>IF(AND(1&gt;=$C11,1&lt;=$D11),(Ingresos!F16)/($D11-$C11+1),0)</f>
        <v>0</v>
      </c>
      <c r="F11" s="24">
        <f>IF(AND(2&gt;=$C11,2&lt;=$D11),(Ingresos!F16)/($D11-$C11+1),0)</f>
        <v>0</v>
      </c>
      <c r="G11" s="24">
        <f>IF(AND(3&gt;=$C11,3&lt;=$D11),(Ingresos!F16)/($D11-$C11+1),0)</f>
        <v>0</v>
      </c>
      <c r="H11" s="24">
        <f>IF(AND(4&gt;=$C11,4&lt;=$D11),(Ingresos!F16)/($D11-$C11+1),0)</f>
        <v>0</v>
      </c>
      <c r="I11" s="24">
        <f>IF(AND(5&gt;=$C11,5&lt;=$D11),(Ingresos!F16)/($D11-$C11+1),0)</f>
        <v>0</v>
      </c>
      <c r="J11" s="24">
        <f>IF(AND(6&gt;=$C11,6&lt;=$D11),(Ingresos!F16)/($D11-$C11+1),0)</f>
        <v>0</v>
      </c>
      <c r="K11" s="24">
        <f>IF(AND(7&gt;=$C11,7&lt;=$D11),(Ingresos!F16)/($D11-$C11+1),0)</f>
        <v>0</v>
      </c>
      <c r="L11" s="24">
        <f>IF(AND(8&gt;=$C11,8&lt;=$D11),(Ingresos!F16)/($D11-$C11+1),0)</f>
        <v>0</v>
      </c>
      <c r="M11" s="24">
        <f>IF(AND(9&gt;=$C11,9&lt;=$D11),(Ingresos!F16)/($D11-$C11+1),0)</f>
        <v>0</v>
      </c>
      <c r="N11" s="24">
        <f>IF(AND(10&gt;=$C11,10&lt;=$D11),(Ingresos!F16)/($D11-$C11+1),0)</f>
        <v>0</v>
      </c>
      <c r="O11" s="24">
        <f>IF(AND(11&gt;=$C11,11&lt;=$D11),(Ingresos!F16)/($D11-$C11+1),0)</f>
        <v>0</v>
      </c>
      <c r="P11" s="24">
        <f>IF(AND(12&gt;=$C11,12&lt;=$D11),(Ingresos!F16)/($D11-$C11+1),0)</f>
        <v>0</v>
      </c>
      <c r="Q11" s="24">
        <f>IF(AND(13&gt;=$C11,13&lt;=$D11),(Ingresos!F16)/($D11-$C11+1),0)</f>
        <v>0</v>
      </c>
      <c r="R11" s="24">
        <f>IF(AND(14&gt;=$C11,14&lt;=$D11),(Ingresos!F16)/($D11-$C11+1),0)</f>
        <v>0</v>
      </c>
      <c r="S11" s="24">
        <f>IF(AND(15&gt;=$C11,15&lt;=$D11),(Ingresos!F16)/($D11-$C11+1),0)</f>
        <v>0</v>
      </c>
      <c r="T11" s="24">
        <f>IF(AND(16&gt;=$C11,16&lt;=$D11),(Ingresos!F16)/($D11-$C11+1),0)</f>
        <v>0</v>
      </c>
      <c r="U11" s="24">
        <f>IF(AND(17&gt;=$C11,17&lt;=$D11),(Ingresos!F16)/($D11-$C11+1),0)</f>
        <v>0</v>
      </c>
      <c r="V11" s="24">
        <f>IF(AND(18&gt;=$C11,18&lt;=$D11),(Ingresos!F16)/($D11-$C11+1),0)</f>
        <v>0</v>
      </c>
      <c r="W11" s="24">
        <f>IF(AND(19&gt;=$C11,19&lt;=$D11),(Ingresos!F16)/($D11-$C11+1),0)</f>
        <v>416666.6667</v>
      </c>
      <c r="X11" s="24">
        <f>IF(AND(20&gt;=$C11,20&lt;=$D11),(Ingresos!F16)/($D11-$C11+1),0)</f>
        <v>416666.6667</v>
      </c>
      <c r="Y11" s="24">
        <f>IF(AND(21&gt;=$C11,21&lt;=$D11),(Ingresos!F16)/($D11-$C11+1),0)</f>
        <v>416666.6667</v>
      </c>
      <c r="Z11" s="24">
        <f>IF(AND(22&gt;=$C11,22&lt;=$D11),(Ingresos!F16)/($D11-$C11+1),0)</f>
        <v>416666.6667</v>
      </c>
      <c r="AA11" s="24">
        <f>IF(AND(23&gt;=$C11,23&lt;=$D11),(Ingresos!F16)/($D11-$C11+1),0)</f>
        <v>416666.6667</v>
      </c>
      <c r="AB11" s="24">
        <f>IF(AND(24&gt;=$C11,24&lt;=$D11),(Ingresos!F16)/($D11-$C11+1),0)</f>
        <v>416666.6667</v>
      </c>
      <c r="AC11" s="24">
        <f>SUM(E11:AB11)</f>
        <v>2500000</v>
      </c>
    </row>
    <row r="12">
      <c r="B12" s="41" t="s">
        <v>143</v>
      </c>
      <c r="C12" s="42"/>
      <c r="D12" s="42"/>
      <c r="E12" s="43">
        <f t="shared" ref="E12:AB12" si="3">E11-E9</f>
        <v>-445000</v>
      </c>
      <c r="F12" s="43">
        <f t="shared" si="3"/>
        <v>-33800</v>
      </c>
      <c r="G12" s="43">
        <f t="shared" si="3"/>
        <v>-33800</v>
      </c>
      <c r="H12" s="43">
        <f t="shared" si="3"/>
        <v>-33800</v>
      </c>
      <c r="I12" s="43">
        <f t="shared" si="3"/>
        <v>-33800</v>
      </c>
      <c r="J12" s="43">
        <f t="shared" si="3"/>
        <v>-122646.1538</v>
      </c>
      <c r="K12" s="43">
        <f t="shared" si="3"/>
        <v>-88846.15385</v>
      </c>
      <c r="L12" s="43">
        <f t="shared" si="3"/>
        <v>-88846.15385</v>
      </c>
      <c r="M12" s="43">
        <f t="shared" si="3"/>
        <v>-88846.15385</v>
      </c>
      <c r="N12" s="43">
        <f t="shared" si="3"/>
        <v>-88846.15385</v>
      </c>
      <c r="O12" s="43">
        <f t="shared" si="3"/>
        <v>-88846.15385</v>
      </c>
      <c r="P12" s="43">
        <f t="shared" si="3"/>
        <v>-88846.15385</v>
      </c>
      <c r="Q12" s="43">
        <f t="shared" si="3"/>
        <v>-88846.15385</v>
      </c>
      <c r="R12" s="43">
        <f t="shared" si="3"/>
        <v>-88846.15385</v>
      </c>
      <c r="S12" s="43">
        <f t="shared" si="3"/>
        <v>-88846.15385</v>
      </c>
      <c r="T12" s="43">
        <f t="shared" si="3"/>
        <v>-88846.15385</v>
      </c>
      <c r="U12" s="43">
        <f t="shared" si="3"/>
        <v>-88846.15385</v>
      </c>
      <c r="V12" s="43">
        <f t="shared" si="3"/>
        <v>-101536.1538</v>
      </c>
      <c r="W12" s="43">
        <f t="shared" si="3"/>
        <v>403976.6667</v>
      </c>
      <c r="X12" s="43">
        <f t="shared" si="3"/>
        <v>403976.6667</v>
      </c>
      <c r="Y12" s="43">
        <f t="shared" si="3"/>
        <v>403976.6667</v>
      </c>
      <c r="Z12" s="43">
        <f t="shared" si="3"/>
        <v>403976.6667</v>
      </c>
      <c r="AA12" s="43">
        <f t="shared" si="3"/>
        <v>403976.6667</v>
      </c>
      <c r="AB12" s="43">
        <f t="shared" si="3"/>
        <v>403976.6667</v>
      </c>
      <c r="AC12" s="43">
        <f>SUM(AC11)-SUM(AC9)</f>
        <v>642170</v>
      </c>
    </row>
    <row r="13">
      <c r="B13" s="35" t="s">
        <v>144</v>
      </c>
      <c r="C13" s="42"/>
      <c r="D13" s="42"/>
      <c r="E13" s="24">
        <f>E12</f>
        <v>-445000</v>
      </c>
      <c r="F13" s="24">
        <f t="shared" ref="F13:AB13" si="4">E13+F12</f>
        <v>-478800</v>
      </c>
      <c r="G13" s="24">
        <f t="shared" si="4"/>
        <v>-512600</v>
      </c>
      <c r="H13" s="24">
        <f t="shared" si="4"/>
        <v>-546400</v>
      </c>
      <c r="I13" s="24">
        <f t="shared" si="4"/>
        <v>-580200</v>
      </c>
      <c r="J13" s="24">
        <f t="shared" si="4"/>
        <v>-702846.1538</v>
      </c>
      <c r="K13" s="24">
        <f t="shared" si="4"/>
        <v>-791692.3077</v>
      </c>
      <c r="L13" s="24">
        <f t="shared" si="4"/>
        <v>-880538.4615</v>
      </c>
      <c r="M13" s="24">
        <f t="shared" si="4"/>
        <v>-969384.6154</v>
      </c>
      <c r="N13" s="24">
        <f t="shared" si="4"/>
        <v>-1058230.769</v>
      </c>
      <c r="O13" s="24">
        <f t="shared" si="4"/>
        <v>-1147076.923</v>
      </c>
      <c r="P13" s="24">
        <f t="shared" si="4"/>
        <v>-1235923.077</v>
      </c>
      <c r="Q13" s="24">
        <f t="shared" si="4"/>
        <v>-1324769.231</v>
      </c>
      <c r="R13" s="24">
        <f t="shared" si="4"/>
        <v>-1413615.385</v>
      </c>
      <c r="S13" s="24">
        <f t="shared" si="4"/>
        <v>-1502461.538</v>
      </c>
      <c r="T13" s="24">
        <f t="shared" si="4"/>
        <v>-1591307.692</v>
      </c>
      <c r="U13" s="24">
        <f t="shared" si="4"/>
        <v>-1680153.846</v>
      </c>
      <c r="V13" s="24">
        <f t="shared" si="4"/>
        <v>-1781690</v>
      </c>
      <c r="W13" s="24">
        <f t="shared" si="4"/>
        <v>-1377713.333</v>
      </c>
      <c r="X13" s="24">
        <f t="shared" si="4"/>
        <v>-973736.6667</v>
      </c>
      <c r="Y13" s="24">
        <f t="shared" si="4"/>
        <v>-569760</v>
      </c>
      <c r="Z13" s="24">
        <f t="shared" si="4"/>
        <v>-165783.3333</v>
      </c>
      <c r="AA13" s="24">
        <f t="shared" si="4"/>
        <v>238193.3333</v>
      </c>
      <c r="AB13" s="24">
        <f t="shared" si="4"/>
        <v>642170</v>
      </c>
    </row>
    <row r="14">
      <c r="B14" s="35" t="s">
        <v>145</v>
      </c>
      <c r="C14" s="42"/>
      <c r="D14" s="42"/>
      <c r="E14" s="24">
        <f t="shared" ref="E14:AB14" si="5">MAX(0,-E13)</f>
        <v>445000</v>
      </c>
      <c r="F14" s="24">
        <f t="shared" si="5"/>
        <v>478800</v>
      </c>
      <c r="G14" s="24">
        <f t="shared" si="5"/>
        <v>512600</v>
      </c>
      <c r="H14" s="24">
        <f t="shared" si="5"/>
        <v>546400</v>
      </c>
      <c r="I14" s="24">
        <f t="shared" si="5"/>
        <v>580200</v>
      </c>
      <c r="J14" s="24">
        <f t="shared" si="5"/>
        <v>702846.1538</v>
      </c>
      <c r="K14" s="24">
        <f t="shared" si="5"/>
        <v>791692.3077</v>
      </c>
      <c r="L14" s="24">
        <f t="shared" si="5"/>
        <v>880538.4615</v>
      </c>
      <c r="M14" s="24">
        <f t="shared" si="5"/>
        <v>969384.6154</v>
      </c>
      <c r="N14" s="24">
        <f t="shared" si="5"/>
        <v>1058230.769</v>
      </c>
      <c r="O14" s="24">
        <f t="shared" si="5"/>
        <v>1147076.923</v>
      </c>
      <c r="P14" s="24">
        <f t="shared" si="5"/>
        <v>1235923.077</v>
      </c>
      <c r="Q14" s="24">
        <f t="shared" si="5"/>
        <v>1324769.231</v>
      </c>
      <c r="R14" s="24">
        <f t="shared" si="5"/>
        <v>1413615.385</v>
      </c>
      <c r="S14" s="24">
        <f t="shared" si="5"/>
        <v>1502461.538</v>
      </c>
      <c r="T14" s="24">
        <f t="shared" si="5"/>
        <v>1591307.692</v>
      </c>
      <c r="U14" s="24">
        <f t="shared" si="5"/>
        <v>1680153.846</v>
      </c>
      <c r="V14" s="24">
        <f t="shared" si="5"/>
        <v>1781690</v>
      </c>
      <c r="W14" s="24">
        <f t="shared" si="5"/>
        <v>1377713.333</v>
      </c>
      <c r="X14" s="24">
        <f t="shared" si="5"/>
        <v>973736.6667</v>
      </c>
      <c r="Y14" s="24">
        <f t="shared" si="5"/>
        <v>569760</v>
      </c>
      <c r="Z14" s="24">
        <f t="shared" si="5"/>
        <v>165783.3333</v>
      </c>
      <c r="AA14" s="24">
        <f t="shared" si="5"/>
        <v>0</v>
      </c>
      <c r="AB14" s="24">
        <f t="shared" si="5"/>
        <v>0</v>
      </c>
    </row>
    <row r="15">
      <c r="B15" s="35" t="s">
        <v>146</v>
      </c>
      <c r="C15" s="42"/>
      <c r="D15" s="42"/>
      <c r="E15" s="24">
        <f>0</f>
        <v>0</v>
      </c>
      <c r="F15" s="24">
        <f>E14*(Costes!E24/12)</f>
        <v>2225</v>
      </c>
      <c r="G15" s="24">
        <f>F14*(Costes!E24/12)</f>
        <v>2394</v>
      </c>
      <c r="H15" s="24">
        <f>G14*(Costes!E24/12)</f>
        <v>2563</v>
      </c>
      <c r="I15" s="24">
        <f>H14*(Costes!E24/12)</f>
        <v>2732</v>
      </c>
      <c r="J15" s="24">
        <f>I14*(Costes!E24/12)</f>
        <v>2901</v>
      </c>
      <c r="K15" s="24">
        <f>J14*(Costes!E24/12)</f>
        <v>3514.230769</v>
      </c>
      <c r="L15" s="24">
        <f>K14*(Costes!E24/12)</f>
        <v>3958.461538</v>
      </c>
      <c r="M15" s="24">
        <f>L14*(Costes!E24/12)</f>
        <v>4402.692308</v>
      </c>
      <c r="N15" s="24">
        <f>M14*(Costes!E24/12)</f>
        <v>4846.923077</v>
      </c>
      <c r="O15" s="24">
        <f>N14*(Costes!E24/12)</f>
        <v>5291.153846</v>
      </c>
      <c r="P15" s="24">
        <f>O14*(Costes!E24/12)</f>
        <v>5735.384615</v>
      </c>
      <c r="Q15" s="24">
        <f>P14*(Costes!E24/12)</f>
        <v>6179.615385</v>
      </c>
      <c r="R15" s="24">
        <f>Q14*(Costes!E24/12)</f>
        <v>6623.846154</v>
      </c>
      <c r="S15" s="24">
        <f>R14*(Costes!E24/12)</f>
        <v>7068.076923</v>
      </c>
      <c r="T15" s="24">
        <f>S14*(Costes!E24/12)</f>
        <v>7512.307692</v>
      </c>
      <c r="U15" s="24">
        <f>T14*(Costes!E24/12)</f>
        <v>7956.538462</v>
      </c>
      <c r="V15" s="24">
        <f>U14*(Costes!E24/12)</f>
        <v>8400.769231</v>
      </c>
      <c r="W15" s="24">
        <f>V14*(Costes!E24/12)</f>
        <v>8908.45</v>
      </c>
      <c r="X15" s="24">
        <f>W14*(Costes!E24/12)</f>
        <v>6888.566667</v>
      </c>
      <c r="Y15" s="24">
        <f>X14*(Costes!E24/12)</f>
        <v>4868.683333</v>
      </c>
      <c r="Z15" s="24">
        <f>Y14*(Costes!E24/12)</f>
        <v>2848.8</v>
      </c>
      <c r="AA15" s="24">
        <f>Z14*(Costes!E24/12)</f>
        <v>828.9166667</v>
      </c>
      <c r="AB15" s="24">
        <f>AA14*(Costes!E24/12)</f>
        <v>0</v>
      </c>
      <c r="AC15" s="24">
        <f>SUM(E15:AB15)</f>
        <v>108648.4167</v>
      </c>
    </row>
    <row r="17" ht="30.0" customHeight="1">
      <c r="B17" s="37" t="s">
        <v>147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F1"/>
    <mergeCell ref="A2:F2"/>
    <mergeCell ref="B17:J17"/>
  </mergeCells>
  <printOptions/>
  <pageMargins bottom="1.0" footer="0.0" header="0.0" left="0.75" right="0.75" top="1.0"/>
  <pageSetup paperSize="9"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4437"/>
    <pageSetUpPr/>
  </sheetPr>
  <sheetViews>
    <sheetView workbookViewId="0"/>
  </sheetViews>
  <sheetFormatPr customHeight="1" defaultColWidth="14.43" defaultRowHeight="15.0"/>
  <cols>
    <col customWidth="1" min="1" max="1" width="4.0"/>
    <col customWidth="1" min="2" max="2" width="34.0"/>
    <col customWidth="1" min="3" max="5" width="16.0"/>
    <col customWidth="1" min="6" max="6" width="4.0"/>
    <col customWidth="1" min="7" max="26" width="8.71"/>
  </cols>
  <sheetData>
    <row r="1">
      <c r="A1" s="1" t="s">
        <v>103</v>
      </c>
    </row>
    <row r="2">
      <c r="A2" s="2" t="s">
        <v>105</v>
      </c>
    </row>
    <row r="4">
      <c r="B4" s="32"/>
      <c r="C4" s="32" t="s">
        <v>108</v>
      </c>
      <c r="D4" s="32" t="s">
        <v>110</v>
      </c>
      <c r="E4" s="32" t="s">
        <v>112</v>
      </c>
    </row>
    <row r="5">
      <c r="B5" s="8" t="s">
        <v>113</v>
      </c>
      <c r="C5" s="16">
        <v>-0.05</v>
      </c>
      <c r="D5" s="16">
        <v>0.0</v>
      </c>
      <c r="E5" s="16">
        <v>0.03</v>
      </c>
    </row>
    <row r="6">
      <c r="B6" s="8" t="s">
        <v>116</v>
      </c>
      <c r="C6" s="16">
        <v>0.08</v>
      </c>
      <c r="D6" s="16">
        <v>0.0</v>
      </c>
      <c r="E6" s="16">
        <v>-0.03</v>
      </c>
    </row>
    <row r="8" ht="19.5" customHeight="1">
      <c r="A8" s="3" t="s">
        <v>118</v>
      </c>
      <c r="B8" s="4"/>
      <c r="C8" s="4"/>
      <c r="D8" s="5"/>
    </row>
    <row r="9">
      <c r="B9" s="8" t="s">
        <v>120</v>
      </c>
      <c r="C9" s="29">
        <f>Ingresos!F16*(1+C5)</f>
        <v>2375000</v>
      </c>
      <c r="D9" s="29">
        <f>Ingresos!F16*(1+D5)</f>
        <v>2500000</v>
      </c>
      <c r="E9" s="29">
        <f>Ingresos!F16*(1+E5)</f>
        <v>2575000</v>
      </c>
    </row>
    <row r="10">
      <c r="B10" s="8" t="s">
        <v>125</v>
      </c>
      <c r="C10" s="29">
        <f>Costes!E32*(1+C6)</f>
        <v>2006456.4</v>
      </c>
      <c r="D10" s="29">
        <f>Costes!E32*(1+D6)</f>
        <v>1857830</v>
      </c>
      <c r="E10" s="29">
        <f>Costes!E32*(1+E6)</f>
        <v>1802095.1</v>
      </c>
    </row>
    <row r="11">
      <c r="B11" s="6" t="s">
        <v>126</v>
      </c>
      <c r="C11" s="20">
        <f t="shared" ref="C11:E11" si="1">C9-C10</f>
        <v>368543.6</v>
      </c>
      <c r="D11" s="20">
        <f t="shared" si="1"/>
        <v>642170</v>
      </c>
      <c r="E11" s="20">
        <f t="shared" si="1"/>
        <v>772904.9</v>
      </c>
    </row>
    <row r="12">
      <c r="B12" s="6" t="s">
        <v>127</v>
      </c>
      <c r="C12" s="33">
        <f t="shared" ref="C12:E12" si="2">C11/C10</f>
        <v>0.1836788479</v>
      </c>
      <c r="D12" s="33">
        <f t="shared" si="2"/>
        <v>0.3456559535</v>
      </c>
      <c r="E12" s="33">
        <f t="shared" si="2"/>
        <v>0.4288924042</v>
      </c>
    </row>
    <row r="13">
      <c r="B13" s="38" t="str">
        <f>IF(C12&gt;=0,"Viable incluso en el peor escenario","⚠ Riesgo si se cumple el escenario pesimista")</f>
        <v>Viable incluso en el peor escenario</v>
      </c>
    </row>
    <row r="15" ht="30.0" customHeight="1">
      <c r="B15" s="37" t="s">
        <v>131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D1"/>
    <mergeCell ref="A2:D2"/>
    <mergeCell ref="A8:D8"/>
    <mergeCell ref="B13:E13"/>
    <mergeCell ref="B15:E15"/>
  </mergeCells>
  <printOptions/>
  <pageMargins bottom="1.0" footer="0.0" header="0.0" left="0.75" right="0.75" top="1.0"/>
  <pageSetup paperSize="9" orientation="portrait"/>
  <drawing r:id="rId1"/>
</worksheet>
</file>